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heckCompatibility="1" autoCompressPictures="0"/>
  <bookViews>
    <workbookView xWindow="6400" yWindow="4740" windowWidth="28800" windowHeight="14760"/>
  </bookViews>
  <sheets>
    <sheet name="HVAC" sheetId="1" r:id="rId1"/>
    <sheet name="People Transport" sheetId="5" r:id="rId2"/>
    <sheet name="Science Time" sheetId="6" r:id="rId3"/>
    <sheet name="Room" sheetId="3" r:id="rId4"/>
    <sheet name="Data Transport" sheetId="4" r:id="rId5"/>
    <sheet name="change log" sheetId="7" r:id="rId6"/>
  </sheets>
  <definedNames>
    <definedName name="AOSAnnualMaintenanceCost">HVAC!$E$85</definedName>
    <definedName name="AOSAnnualOperatingCost">HVAC!$E$86</definedName>
    <definedName name="AOSCapitalCost">HVAC!$E$84</definedName>
    <definedName name="AOSOverhead">HVAC!$C$108</definedName>
    <definedName name="inflationFactor">HVAC!$C$105</definedName>
    <definedName name="OSFAnnualMaintenanceCost">HVAC!$E$90</definedName>
    <definedName name="OSFAnnualOperatingCost">HVAC!$E$91</definedName>
    <definedName name="OSFCapitalCost">HVAC!$E$89</definedName>
    <definedName name="OSFOverhead">HVAC!$C$109</definedName>
    <definedName name="sqft_sqm">Room!$D$6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D4" i="1"/>
  <c r="D5" i="1"/>
  <c r="D6" i="1"/>
  <c r="D7" i="1"/>
  <c r="E4" i="1"/>
  <c r="E5" i="1"/>
  <c r="E6" i="1"/>
  <c r="E7" i="1"/>
  <c r="E8" i="1"/>
  <c r="D8" i="1"/>
  <c r="J11" i="5"/>
  <c r="B9" i="3"/>
  <c r="B19" i="3"/>
  <c r="D18" i="3"/>
  <c r="B20" i="3"/>
  <c r="D14" i="3"/>
  <c r="B7" i="3"/>
  <c r="B11" i="3"/>
  <c r="D10" i="3"/>
  <c r="D9" i="3"/>
  <c r="D8" i="3"/>
  <c r="N7" i="3"/>
  <c r="D7" i="3"/>
  <c r="D11" i="3"/>
  <c r="N6" i="3"/>
  <c r="D16" i="3"/>
  <c r="C10" i="5"/>
  <c r="C12" i="5"/>
  <c r="C13" i="5"/>
  <c r="C16" i="5"/>
  <c r="C19" i="5"/>
  <c r="C20" i="5"/>
  <c r="C18" i="6"/>
  <c r="C6" i="6"/>
  <c r="C7" i="6"/>
  <c r="C8" i="6"/>
  <c r="C9" i="6"/>
  <c r="C10" i="6"/>
  <c r="C19" i="6"/>
  <c r="C24" i="6"/>
  <c r="C25" i="6"/>
  <c r="D4" i="4"/>
  <c r="D5" i="4"/>
  <c r="D6" i="4"/>
  <c r="D7" i="4"/>
  <c r="D8" i="4"/>
  <c r="D9" i="4"/>
  <c r="D10" i="4"/>
  <c r="D11" i="4"/>
  <c r="D12" i="4"/>
  <c r="D13" i="4"/>
  <c r="D14" i="4"/>
  <c r="D19" i="4"/>
  <c r="D29" i="4"/>
  <c r="E101" i="1"/>
  <c r="D100" i="1"/>
  <c r="E100" i="1"/>
  <c r="D99" i="1"/>
  <c r="E99" i="1"/>
  <c r="D98" i="1"/>
  <c r="E98" i="1"/>
  <c r="I6" i="1"/>
  <c r="H6" i="1"/>
  <c r="C9" i="5"/>
  <c r="C5" i="5"/>
  <c r="C8" i="5"/>
  <c r="G17" i="1"/>
  <c r="E17" i="1"/>
  <c r="E16" i="1"/>
  <c r="D16" i="1"/>
  <c r="G16" i="1"/>
  <c r="D15" i="1"/>
  <c r="G15" i="1"/>
</calcChain>
</file>

<file path=xl/sharedStrings.xml><?xml version="1.0" encoding="utf-8"?>
<sst xmlns="http://schemas.openxmlformats.org/spreadsheetml/2006/main" count="231" uniqueCount="210">
  <si>
    <t>hPA</t>
  </si>
  <si>
    <t>in mercury</t>
  </si>
  <si>
    <t>location</t>
  </si>
  <si>
    <t>AOS</t>
  </si>
  <si>
    <t>OSF</t>
  </si>
  <si>
    <t>VA Beach</t>
  </si>
  <si>
    <t>ratios relative to sea level</t>
  </si>
  <si>
    <t>ratios relative to AOS</t>
  </si>
  <si>
    <t>Based on current weather</t>
  </si>
  <si>
    <t>based on graphs from wikipedia</t>
  </si>
  <si>
    <t>density ratio at 5000 meters = 0.6 + (2/44)0.1 = .605</t>
  </si>
  <si>
    <t>density ratio at 3000 meters = 0.7 + (18/44)0.1 = .741</t>
  </si>
  <si>
    <t xml:space="preserve">ratio of densities @ 3000 m and 5000 m = .741/0.605 = 1.225 </t>
  </si>
  <si>
    <t>pressure ratio at 5000 meters = 0.5 + (15/48)0.1 = .53</t>
  </si>
  <si>
    <t>pressure ratio at 3000 meters = 0.6 + (43/48)0.1 = .690</t>
  </si>
  <si>
    <t>ratio of pressures @ 3000 m and 5000 m = .690/0.530 = 1.30  (very close to above from pressure readings on 6/15/2016)</t>
  </si>
  <si>
    <t>Cost savings over 20 years:</t>
  </si>
  <si>
    <t>Note 1</t>
  </si>
  <si>
    <t>KW</t>
  </si>
  <si>
    <t>Total</t>
  </si>
  <si>
    <t>Need space to work around racks</t>
  </si>
  <si>
    <t>Need space for HVAC</t>
  </si>
  <si>
    <t>Square feet/rack</t>
  </si>
  <si>
    <t>Working space</t>
  </si>
  <si>
    <t>sq-ft</t>
  </si>
  <si>
    <t>space for HVAC</t>
  </si>
  <si>
    <t>cost of construction</t>
  </si>
  <si>
    <t>$/sq-ft</t>
  </si>
  <si>
    <t>college laboratory, US avg</t>
  </si>
  <si>
    <t>source:  BuildingJournal.com</t>
  </si>
  <si>
    <t>AOS total</t>
  </si>
  <si>
    <t>OSF total</t>
  </si>
  <si>
    <t>2:1 splitters</t>
  </si>
  <si>
    <t>Desc.</t>
  </si>
  <si>
    <t>Qty</t>
  </si>
  <si>
    <t>Unit cost</t>
  </si>
  <si>
    <t>total cost</t>
  </si>
  <si>
    <t>4:1 splitters</t>
  </si>
  <si>
    <t>source OEQuest.com</t>
  </si>
  <si>
    <t>DWDM</t>
  </si>
  <si>
    <t>source: Doeleman</t>
  </si>
  <si>
    <t>cables</t>
  </si>
  <si>
    <t>racks and misc</t>
  </si>
  <si>
    <t>Big assumption: Space for this is available at both AOS and OSF</t>
  </si>
  <si>
    <t>source: http://www.fs.com/dwdm-sfp-plus-transceivers-sid-191.html</t>
  </si>
  <si>
    <t>Big question: what to do about transceiver spares?</t>
  </si>
  <si>
    <t>Installation/test (4 weeks, 2 FTE)</t>
  </si>
  <si>
    <t>Design, Assemble, Document, PAI</t>
  </si>
  <si>
    <t>0.5 FTE year</t>
  </si>
  <si>
    <t>source: guestimate</t>
  </si>
  <si>
    <t>Travel</t>
  </si>
  <si>
    <t>source: various</t>
  </si>
  <si>
    <t>Note: In the 2022 time frame these costs will go down.  Chris Jacques estimates decrease of about 30%</t>
  </si>
  <si>
    <t>transceivers (in packaged modules)</t>
  </si>
  <si>
    <t>receivers (on daughter cards in correlator)</t>
  </si>
  <si>
    <t>Time wasted/trip:</t>
  </si>
  <si>
    <t>Number of FTEs required to go to AOS to service the correlator</t>
  </si>
  <si>
    <r>
      <t>time wasted/FTE on a trip to the AOS</t>
    </r>
    <r>
      <rPr>
        <vertAlign val="superscript"/>
        <sz val="11"/>
        <color theme="1"/>
        <rFont val="Calibri"/>
        <family val="2"/>
        <scheme val="minor"/>
      </rPr>
      <t>1</t>
    </r>
  </si>
  <si>
    <t>Notes:</t>
  </si>
  <si>
    <t>1 - Includes driving time and time loading and unloading the vehicle</t>
  </si>
  <si>
    <t>hrs</t>
  </si>
  <si>
    <t>Number of years</t>
  </si>
  <si>
    <t>Hours wasted</t>
  </si>
  <si>
    <t>Fraction of FTE time wasted</t>
  </si>
  <si>
    <t>Cost of FTE-year</t>
  </si>
  <si>
    <t>Capital cost of ALMA</t>
  </si>
  <si>
    <t>Lifetime of ALMA</t>
  </si>
  <si>
    <t>years</t>
  </si>
  <si>
    <r>
      <t>Cost per year</t>
    </r>
    <r>
      <rPr>
        <vertAlign val="superscript"/>
        <sz val="11"/>
        <color theme="1"/>
        <rFont val="Calibri"/>
        <family val="2"/>
        <scheme val="minor"/>
      </rPr>
      <t>1</t>
    </r>
  </si>
  <si>
    <t>Hours per year</t>
  </si>
  <si>
    <t>Cost per hour</t>
  </si>
  <si>
    <t>Operating cost per year</t>
  </si>
  <si>
    <t>30-year operating costs</t>
  </si>
  <si>
    <t>Total ALMA cost for 30 yr</t>
  </si>
  <si>
    <t>source: existing HVAC is about the size of the existing correlator room</t>
  </si>
  <si>
    <t>Number of km driven per trip</t>
  </si>
  <si>
    <t>km</t>
  </si>
  <si>
    <t>Cost of vehicle operation per km</t>
  </si>
  <si>
    <t>Vehicle cost over 20 years</t>
  </si>
  <si>
    <t>Cost of high-altitude bonus over 20 years</t>
  </si>
  <si>
    <t>Number of people required per trip</t>
  </si>
  <si>
    <t>metric equivalent</t>
  </si>
  <si>
    <t>square meters per square foot</t>
  </si>
  <si>
    <t>AOS (correlator space)</t>
  </si>
  <si>
    <t>AOS(HVAC space)</t>
  </si>
  <si>
    <t>OSF (correlator space)</t>
  </si>
  <si>
    <t>OSF (HVAC space)</t>
  </si>
  <si>
    <t>Contingency (10%)</t>
  </si>
  <si>
    <r>
      <t xml:space="preserve">Number of trips/yr </t>
    </r>
    <r>
      <rPr>
        <vertAlign val="superscript"/>
        <sz val="11"/>
        <color theme="1"/>
        <rFont val="Calibri"/>
        <family val="2"/>
        <scheme val="minor"/>
      </rPr>
      <t>2</t>
    </r>
  </si>
  <si>
    <t>2 - Source is Alejandro Saez</t>
  </si>
  <si>
    <r>
      <t xml:space="preserve">Cost of high-altitude bonus per person per trip </t>
    </r>
    <r>
      <rPr>
        <vertAlign val="superscript"/>
        <sz val="11"/>
        <color theme="1"/>
        <rFont val="Calibri"/>
        <family val="2"/>
        <scheme val="minor"/>
      </rPr>
      <t>2</t>
    </r>
  </si>
  <si>
    <t>[1]</t>
  </si>
  <si>
    <t>Correlator Room AC Calculation.pdf, M3 Engineering Technology Corp., Oct 24, 2003 available on EDM at http://edm.alma.cl/forums/alma/dispatch.cgi/ipt20docs/docProfile/100301/</t>
  </si>
  <si>
    <t>[2]</t>
  </si>
  <si>
    <t>Correlator Room HVAC Study, STE-20.01.02.00-002-A-REP.pdf, on EDM at http://edm.alma.cl/forums/alma/dispatch.cgi/ipt20docs/docProfile/100073/</t>
  </si>
  <si>
    <t>From [1]</t>
  </si>
  <si>
    <t>Internal load</t>
  </si>
  <si>
    <t>Required Safety Factor</t>
  </si>
  <si>
    <t>Altitude</t>
  </si>
  <si>
    <t>m</t>
  </si>
  <si>
    <t>Barometric Pressure</t>
  </si>
  <si>
    <t>% of sea level</t>
  </si>
  <si>
    <t>Desired Room Air Temperature</t>
  </si>
  <si>
    <t>degrees C</t>
  </si>
  <si>
    <r>
      <t xml:space="preserve">Q = mfr Cp </t>
    </r>
    <r>
      <rPr>
        <sz val="11"/>
        <color theme="1"/>
        <rFont val="GreekC"/>
      </rPr>
      <t>D</t>
    </r>
    <r>
      <rPr>
        <sz val="9.35"/>
        <color theme="1"/>
        <rFont val="Calibri"/>
        <family val="2"/>
      </rPr>
      <t>T</t>
    </r>
  </si>
  <si>
    <r>
      <t xml:space="preserve">   = 1.085 cfm </t>
    </r>
    <r>
      <rPr>
        <sz val="11"/>
        <color theme="1"/>
        <rFont val="GreekC"/>
      </rPr>
      <t>D</t>
    </r>
    <r>
      <rPr>
        <sz val="9.35"/>
        <color theme="1"/>
        <rFont val="Calibri"/>
        <family val="2"/>
      </rPr>
      <t>T</t>
    </r>
  </si>
  <si>
    <t>where</t>
  </si>
  <si>
    <t xml:space="preserve">  mfr = mass flow rate, kg/hr</t>
  </si>
  <si>
    <r>
      <t xml:space="preserve">  </t>
    </r>
    <r>
      <rPr>
        <sz val="11"/>
        <color theme="1"/>
        <rFont val="GreekC"/>
      </rPr>
      <t>D</t>
    </r>
    <r>
      <rPr>
        <sz val="9.35"/>
        <color theme="1"/>
        <rFont val="Calibri"/>
        <family val="2"/>
      </rPr>
      <t>= supply air temperature minus return air temperature</t>
    </r>
  </si>
  <si>
    <t xml:space="preserve">  cfm = cubic feet per minute</t>
  </si>
  <si>
    <t>At 5075m</t>
  </si>
  <si>
    <t xml:space="preserve">  cfm = 39,500/0.0589 = 67,000 cfm (31,620 l/s)</t>
  </si>
  <si>
    <t>The intent is to use two air handlers, each capable of supplying 33,500 cfm (15,810 l/s)</t>
  </si>
  <si>
    <t>From [2]</t>
  </si>
  <si>
    <t>Use of an "economizer" saves money at AOS, not possible at OSF</t>
  </si>
  <si>
    <t>"Option 2"</t>
  </si>
  <si>
    <t>Capital cost</t>
  </si>
  <si>
    <t>Annual Maintenance cost</t>
  </si>
  <si>
    <t>Annual Operating cost</t>
  </si>
  <si>
    <t>"Option 5"</t>
  </si>
  <si>
    <t>"Option 6"</t>
  </si>
  <si>
    <t>At AOS:</t>
  </si>
  <si>
    <t>At OSF</t>
  </si>
  <si>
    <t>not doable</t>
  </si>
  <si>
    <t>According to chiller manufacturers, any equipment derating for the chiller condenser fans are largely offset by the gain received from the lower ambient temperatures</t>
  </si>
  <si>
    <t>In actuality, the lower site will require slightly less airflow and therefore the costs will be slightly less, possibly $1,000 to $2,000 per air handler.</t>
  </si>
  <si>
    <t>Freight, taxes and import duties not included in above</t>
  </si>
  <si>
    <r>
      <t>Q = 685,000 Btuh = 1.085 cfm (68 - 52)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</t>
    </r>
  </si>
  <si>
    <t xml:space="preserve">  Q = heat loss/gain (kw)</t>
  </si>
  <si>
    <t>cost per kw-hr</t>
  </si>
  <si>
    <t>kw</t>
  </si>
  <si>
    <t>hr</t>
  </si>
  <si>
    <t>yearly cost</t>
  </si>
  <si>
    <t>real cost at 30 cents per kw-hr</t>
  </si>
  <si>
    <t>M3 probably assumed $0.05 per kw-hr</t>
  </si>
  <si>
    <t>inflation factor</t>
  </si>
  <si>
    <t>per cent per year</t>
  </si>
  <si>
    <t>number of years</t>
  </si>
  <si>
    <t>operatingCostCorrectionFactor</t>
  </si>
  <si>
    <t>Number of Years</t>
  </si>
  <si>
    <t>Maintenance Cost</t>
  </si>
  <si>
    <t>Operating Costs</t>
  </si>
  <si>
    <t>Total 20-year cost</t>
  </si>
  <si>
    <t>freight, taxes, import, installation</t>
  </si>
  <si>
    <t>estimate based on correlator shipping and installation</t>
  </si>
  <si>
    <t>Conclusion: Cooling at AOS saves significant dollars due to operational savings due to use of ambient cooling</t>
  </si>
  <si>
    <t>Cooling Cost Comparison</t>
  </si>
  <si>
    <t>Background information:</t>
  </si>
  <si>
    <t>Cost of transporting current data to OSF in 2016 dollars</t>
  </si>
  <si>
    <t>Cost of transport 4x BW and 4 bits in year 2022</t>
  </si>
  <si>
    <t xml:space="preserve">   For the final estimate, simply multiply the above estimate by 4/3</t>
  </si>
  <si>
    <t xml:space="preserve">   Estimated Cost:</t>
  </si>
  <si>
    <t>Number of maintenance trips to the AOS per year</t>
  </si>
  <si>
    <t>Hours of science time lost per trip, day</t>
  </si>
  <si>
    <t>Hours of science time lost per trip, night</t>
  </si>
  <si>
    <t>Mean hours lost per trip</t>
  </si>
  <si>
    <t>Science hours lost per year</t>
  </si>
  <si>
    <t>Science time lost over number of years</t>
  </si>
  <si>
    <t xml:space="preserve">  Assumption: In 2022, 40 Gb/s tranceivers should be available for the present cost of 10 Gb/s transceivers</t>
  </si>
  <si>
    <t>Time lost during transition period for AOS existing room</t>
  </si>
  <si>
    <t>#days</t>
  </si>
  <si>
    <t>mean fraction of days normally used for science</t>
  </si>
  <si>
    <t xml:space="preserve">estimate based on past experience </t>
  </si>
  <si>
    <t>guess</t>
  </si>
  <si>
    <t>total hours lost during transition</t>
  </si>
  <si>
    <t>Number of working hours per year per FTE</t>
  </si>
  <si>
    <t>Dollar cost of hours wasted per FTE per year</t>
  </si>
  <si>
    <t>Wasted labor over 20 years</t>
  </si>
  <si>
    <t>Total incremental personnel cost over 20 years</t>
  </si>
  <si>
    <t>should try to get a better estimate</t>
  </si>
  <si>
    <t xml:space="preserve">  The requirement to transmit 4 bits instead of 3 will increase the cost by ~4/3</t>
  </si>
  <si>
    <t>Costs associated with travel to the AOS to service the correlator</t>
  </si>
  <si>
    <t>"Productivity" costs of lost science with the correlator housed at the AOS</t>
  </si>
  <si>
    <t>cost of science time lost for Case 1</t>
  </si>
  <si>
    <t>Value of lost science for Case 2</t>
  </si>
  <si>
    <t>Costs of space for correlator and HVAC for Cases 2 and 4</t>
  </si>
  <si>
    <t>OSF room costs breakdown</t>
  </si>
  <si>
    <t>Correlator</t>
  </si>
  <si>
    <t>HVAC</t>
  </si>
  <si>
    <r>
      <t>Square feet/11 racks</t>
    </r>
    <r>
      <rPr>
        <vertAlign val="superscript"/>
        <sz val="11"/>
        <color theme="1"/>
        <rFont val="Calibri"/>
        <family val="2"/>
        <scheme val="minor"/>
      </rPr>
      <t>1</t>
    </r>
  </si>
  <si>
    <t>source: Jason Jennings, private communication, see below; average cost per square foot of AOS</t>
  </si>
  <si>
    <t>both seem high.  Space for HVAC drives the cost.  Cheaper space for HVAC?</t>
  </si>
  <si>
    <t>1 - 8 racks for the correlator proper (source: Carlson), 2 rack for computers and networking, 1 rack for fiber demultiplexing</t>
  </si>
  <si>
    <t>2 - rack mount ("earthquake mount")is called out separately</t>
  </si>
  <si>
    <t>3 - HVAC is costed separately</t>
  </si>
  <si>
    <t>Jason Jennings info:</t>
  </si>
  <si>
    <t>Subject:</t>
  </si>
  <si>
    <t>RE: ALMA costs</t>
  </si>
  <si>
    <t>From:</t>
  </si>
  <si>
    <t>Jason Jennings &lt;jjenning@nrao.edu&gt;</t>
  </si>
  <si>
    <t>Date:</t>
  </si>
  <si>
    <t>To:</t>
  </si>
  <si>
    <t>Rich Lacasse &lt;rlacasse@nrao.edu&gt;</t>
  </si>
  <si>
    <t>CC:</t>
  </si>
  <si>
    <t>William Randolph &lt;wrandolp@nrao.edu&gt;</t>
  </si>
  <si>
    <t>Hi Rich,</t>
  </si>
  <si>
    <t>Bill and I have been looking into this, and have reached out to some folks at JAO and the AUI Office and we this is what have found in the records:</t>
  </si>
  <si>
    <t>AOS was approx. $11.1M from back around 2009, so at 1.5% inflation that bring you up to around $12.3M in 2016.</t>
  </si>
  <si>
    <t>Total SqFt of AOS is ~18.3k, so you are looking at $673 per sqft at AOS</t>
  </si>
  <si>
    <t>OSF was 25.0M EUR, so at 1.4 $/EUR (back then) that comes up to $35M USD.  With 1.5% escalation we are up to $38.8M in 2016.</t>
  </si>
  <si>
    <t>I don’t have info on square footage for this at this point, but we have requested that info.  I will let you know as soon as I hear.</t>
  </si>
  <si>
    <t>Please let me know if you have questions.  Thanks.</t>
  </si>
  <si>
    <t xml:space="preserve"> - Jason</t>
  </si>
  <si>
    <t>Need space for 11 racks</t>
  </si>
  <si>
    <t>operating plus maintenance:</t>
  </si>
  <si>
    <t>From Jason Jennings: $38.8M/10,000 m^2 =&gt; $361/ft^2</t>
  </si>
  <si>
    <t>Perhaps this space can be less expensive?</t>
  </si>
  <si>
    <t>Date</t>
  </si>
  <si>
    <t>Change</t>
  </si>
  <si>
    <t>Update OSF cost per Jason Jennings email ($361/sq-ft for OSF)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</si>
</sst>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GreekC"/>
    </font>
    <font>
      <sz val="9.35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8" fontId="0" fillId="0" borderId="0" xfId="0" applyNumberFormat="1"/>
    <xf numFmtId="3" fontId="0" fillId="0" borderId="0" xfId="0" applyNumberFormat="1"/>
    <xf numFmtId="6" fontId="0" fillId="0" borderId="0" xfId="0" applyNumberFormat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ont="1" applyBorder="1"/>
    <xf numFmtId="2" fontId="0" fillId="0" borderId="0" xfId="0" applyNumberFormat="1" applyBorder="1"/>
    <xf numFmtId="0" fontId="0" fillId="0" borderId="19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1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6" fillId="0" borderId="0" xfId="0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Font="1"/>
    <xf numFmtId="165" fontId="0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22" fontId="0" fillId="0" borderId="0" xfId="0" applyNumberFormat="1"/>
    <xf numFmtId="14" fontId="0" fillId="0" borderId="0" xfId="0" applyNumberFormat="1"/>
    <xf numFmtId="3" fontId="0" fillId="0" borderId="8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10</xdr:col>
      <xdr:colOff>324971</xdr:colOff>
      <xdr:row>48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0"/>
          <a:ext cx="10477500" cy="5657850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33</xdr:row>
      <xdr:rowOff>28575</xdr:rowOff>
    </xdr:from>
    <xdr:to>
      <xdr:col>6</xdr:col>
      <xdr:colOff>590550</xdr:colOff>
      <xdr:row>33</xdr:row>
      <xdr:rowOff>66675</xdr:rowOff>
    </xdr:to>
    <xdr:cxnSp macro="">
      <xdr:nvCxnSpPr>
        <xdr:cNvPr id="4" name="Straight Connector 3"/>
        <xdr:cNvCxnSpPr/>
      </xdr:nvCxnSpPr>
      <xdr:spPr>
        <a:xfrm>
          <a:off x="600075" y="4029075"/>
          <a:ext cx="465772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33</xdr:row>
      <xdr:rowOff>76200</xdr:rowOff>
    </xdr:from>
    <xdr:to>
      <xdr:col>6</xdr:col>
      <xdr:colOff>590550</xdr:colOff>
      <xdr:row>47</xdr:row>
      <xdr:rowOff>66675</xdr:rowOff>
    </xdr:to>
    <xdr:cxnSp macro="">
      <xdr:nvCxnSpPr>
        <xdr:cNvPr id="7" name="Straight Connector 6"/>
        <xdr:cNvCxnSpPr/>
      </xdr:nvCxnSpPr>
      <xdr:spPr>
        <a:xfrm>
          <a:off x="5257800" y="4076700"/>
          <a:ext cx="0" cy="2657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38</xdr:row>
      <xdr:rowOff>142875</xdr:rowOff>
    </xdr:from>
    <xdr:to>
      <xdr:col>9</xdr:col>
      <xdr:colOff>395654</xdr:colOff>
      <xdr:row>38</xdr:row>
      <xdr:rowOff>161192</xdr:rowOff>
    </xdr:to>
    <xdr:cxnSp macro="">
      <xdr:nvCxnSpPr>
        <xdr:cNvPr id="8" name="Straight Connector 7"/>
        <xdr:cNvCxnSpPr/>
      </xdr:nvCxnSpPr>
      <xdr:spPr>
        <a:xfrm>
          <a:off x="590550" y="5095875"/>
          <a:ext cx="6289431" cy="183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402981</xdr:colOff>
      <xdr:row>38</xdr:row>
      <xdr:rowOff>168519</xdr:rowOff>
    </xdr:from>
    <xdr:to>
      <xdr:col>9</xdr:col>
      <xdr:colOff>402981</xdr:colOff>
      <xdr:row>47</xdr:row>
      <xdr:rowOff>36635</xdr:rowOff>
    </xdr:to>
    <xdr:cxnSp macro="">
      <xdr:nvCxnSpPr>
        <xdr:cNvPr id="12" name="Straight Connector 11"/>
        <xdr:cNvCxnSpPr/>
      </xdr:nvCxnSpPr>
      <xdr:spPr>
        <a:xfrm>
          <a:off x="6887308" y="5121519"/>
          <a:ext cx="0" cy="15826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372718</xdr:colOff>
      <xdr:row>33</xdr:row>
      <xdr:rowOff>66261</xdr:rowOff>
    </xdr:from>
    <xdr:to>
      <xdr:col>5</xdr:col>
      <xdr:colOff>381000</xdr:colOff>
      <xdr:row>47</xdr:row>
      <xdr:rowOff>33130</xdr:rowOff>
    </xdr:to>
    <xdr:cxnSp macro="">
      <xdr:nvCxnSpPr>
        <xdr:cNvPr id="16" name="Straight Connector 15"/>
        <xdr:cNvCxnSpPr/>
      </xdr:nvCxnSpPr>
      <xdr:spPr>
        <a:xfrm flipH="1">
          <a:off x="4447761" y="4066761"/>
          <a:ext cx="8282" cy="2633869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389282</xdr:colOff>
      <xdr:row>38</xdr:row>
      <xdr:rowOff>165653</xdr:rowOff>
    </xdr:from>
    <xdr:to>
      <xdr:col>8</xdr:col>
      <xdr:colOff>405846</xdr:colOff>
      <xdr:row>47</xdr:row>
      <xdr:rowOff>33130</xdr:rowOff>
    </xdr:to>
    <xdr:cxnSp macro="">
      <xdr:nvCxnSpPr>
        <xdr:cNvPr id="22" name="Straight Connector 21"/>
        <xdr:cNvCxnSpPr/>
      </xdr:nvCxnSpPr>
      <xdr:spPr>
        <a:xfrm flipH="1">
          <a:off x="6303065" y="5118653"/>
          <a:ext cx="16564" cy="1581977"/>
        </a:xfrm>
        <a:prstGeom prst="line">
          <a:avLst/>
        </a:prstGeom>
        <a:noFill/>
        <a:ln w="6350" cap="flat" cmpd="sng" algn="ctr">
          <a:solidFill>
            <a:srgbClr val="ED7D31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12"/>
  <sheetViews>
    <sheetView tabSelected="1" topLeftCell="A70" zoomScale="85" zoomScaleNormal="85" zoomScalePageLayoutView="85" workbookViewId="0">
      <selection activeCell="B112" sqref="B112"/>
    </sheetView>
  </sheetViews>
  <sheetFormatPr baseColWidth="10" defaultColWidth="8.83203125" defaultRowHeight="14" x14ac:dyDescent="0"/>
  <cols>
    <col min="2" max="2" width="34" customWidth="1"/>
    <col min="3" max="3" width="12.5" customWidth="1"/>
    <col min="4" max="4" width="28" customWidth="1"/>
    <col min="5" max="5" width="22" customWidth="1"/>
    <col min="8" max="8" width="10.33203125" bestFit="1" customWidth="1"/>
  </cols>
  <sheetData>
    <row r="1" spans="1:9">
      <c r="A1" s="36" t="s">
        <v>146</v>
      </c>
    </row>
    <row r="2" spans="1:9">
      <c r="D2" t="s">
        <v>3</v>
      </c>
      <c r="E2" t="s">
        <v>4</v>
      </c>
    </row>
    <row r="3" spans="1:9">
      <c r="A3" t="s">
        <v>139</v>
      </c>
      <c r="D3" s="35">
        <v>20</v>
      </c>
      <c r="E3" s="35">
        <v>20</v>
      </c>
    </row>
    <row r="4" spans="1:9">
      <c r="A4" t="s">
        <v>116</v>
      </c>
      <c r="D4" s="35">
        <f>AOSCapitalCost*inflationFactor + AOSOverhead</f>
        <v>163636.56792409232</v>
      </c>
      <c r="E4" s="35">
        <f>OSFCapitalCost*inflationFactor + OSFOverhead</f>
        <v>158636.56792409232</v>
      </c>
      <c r="F4" t="s">
        <v>17</v>
      </c>
    </row>
    <row r="5" spans="1:9">
      <c r="A5" t="s">
        <v>140</v>
      </c>
      <c r="D5" s="35">
        <f>AOSAnnualMaintenanceCost*D3*inflationFactor</f>
        <v>44056.011403546916</v>
      </c>
      <c r="E5" s="35">
        <f>OSFAnnualMaintenanceCost*E3*inflationFactor</f>
        <v>44056.011403546916</v>
      </c>
      <c r="H5" s="36" t="s">
        <v>204</v>
      </c>
    </row>
    <row r="6" spans="1:9">
      <c r="A6" t="s">
        <v>141</v>
      </c>
      <c r="D6" s="35">
        <f>AOSAnnualOperatingCost*D3*inflationFactor</f>
        <v>1145456.2964922199</v>
      </c>
      <c r="E6" s="35">
        <f>OSFAnnualOperatingCost*E3*inflationFactor</f>
        <v>2202800.570177346</v>
      </c>
      <c r="H6" s="3">
        <f>D5+D6</f>
        <v>1189512.3078957668</v>
      </c>
      <c r="I6" s="35">
        <f>E5+E6</f>
        <v>2246856.5815808931</v>
      </c>
    </row>
    <row r="7" spans="1:9">
      <c r="A7" t="s">
        <v>142</v>
      </c>
      <c r="D7" s="35">
        <f>SUM(D4:D6)</f>
        <v>1353148.8758198591</v>
      </c>
      <c r="E7" s="35">
        <f>SUM(E4:E6)</f>
        <v>2405493.1495049852</v>
      </c>
    </row>
    <row r="8" spans="1:9">
      <c r="A8" s="36" t="s">
        <v>16</v>
      </c>
      <c r="B8" s="36"/>
      <c r="C8" s="36"/>
      <c r="D8" s="37">
        <f>E7-D7</f>
        <v>1052344.2736851261</v>
      </c>
      <c r="E8" s="37">
        <f>D7-E7</f>
        <v>-1052344.2736851261</v>
      </c>
      <c r="F8" s="36"/>
      <c r="G8" s="36"/>
    </row>
    <row r="9" spans="1:9">
      <c r="A9" s="36" t="s">
        <v>145</v>
      </c>
      <c r="B9" s="36"/>
      <c r="C9" s="36"/>
      <c r="D9" s="36"/>
      <c r="E9" s="36"/>
      <c r="F9" s="36"/>
      <c r="G9" s="36"/>
    </row>
    <row r="11" spans="1:9">
      <c r="A11" s="36" t="s">
        <v>147</v>
      </c>
    </row>
    <row r="13" spans="1:9">
      <c r="A13" t="s">
        <v>8</v>
      </c>
    </row>
    <row r="14" spans="1:9">
      <c r="A14" t="s">
        <v>2</v>
      </c>
      <c r="B14" t="s">
        <v>0</v>
      </c>
      <c r="C14" t="s">
        <v>1</v>
      </c>
      <c r="D14" t="s">
        <v>6</v>
      </c>
      <c r="E14" t="s">
        <v>7</v>
      </c>
    </row>
    <row r="15" spans="1:9">
      <c r="A15" t="s">
        <v>3</v>
      </c>
      <c r="B15">
        <v>556</v>
      </c>
      <c r="C15">
        <v>16.41</v>
      </c>
      <c r="D15">
        <f>B15/B17</f>
        <v>0.54940711462450598</v>
      </c>
      <c r="E15">
        <v>1</v>
      </c>
      <c r="G15">
        <f>1/D15</f>
        <v>1.8201438848920861</v>
      </c>
    </row>
    <row r="16" spans="1:9">
      <c r="A16" t="s">
        <v>4</v>
      </c>
      <c r="B16">
        <v>722</v>
      </c>
      <c r="C16">
        <v>21.32</v>
      </c>
      <c r="D16">
        <f>B16/B17</f>
        <v>0.7134387351778656</v>
      </c>
      <c r="E16">
        <f>B16/B15</f>
        <v>1.2985611510791366</v>
      </c>
      <c r="G16">
        <f>1/D16</f>
        <v>1.4016620498614958</v>
      </c>
    </row>
    <row r="17" spans="1:7">
      <c r="A17" t="s">
        <v>5</v>
      </c>
      <c r="B17">
        <v>1012</v>
      </c>
      <c r="C17">
        <v>29.87</v>
      </c>
      <c r="D17">
        <v>1</v>
      </c>
      <c r="E17">
        <f>B17/B15</f>
        <v>1.8201438848920863</v>
      </c>
      <c r="G17">
        <f>1/D17</f>
        <v>1</v>
      </c>
    </row>
    <row r="19" spans="1:7">
      <c r="A19" t="s">
        <v>9</v>
      </c>
    </row>
    <row r="51" spans="1:5">
      <c r="A51" t="s">
        <v>10</v>
      </c>
    </row>
    <row r="52" spans="1:5">
      <c r="A52" t="s">
        <v>11</v>
      </c>
    </row>
    <row r="53" spans="1:5">
      <c r="A53" t="s">
        <v>12</v>
      </c>
    </row>
    <row r="54" spans="1:5">
      <c r="A54" s="1"/>
    </row>
    <row r="55" spans="1:5">
      <c r="A55" t="s">
        <v>13</v>
      </c>
    </row>
    <row r="56" spans="1:5">
      <c r="A56" t="s">
        <v>14</v>
      </c>
    </row>
    <row r="57" spans="1:5">
      <c r="A57" t="s">
        <v>15</v>
      </c>
    </row>
    <row r="61" spans="1:5">
      <c r="A61" s="18" t="s">
        <v>95</v>
      </c>
      <c r="B61" s="19"/>
      <c r="C61" s="19"/>
      <c r="D61" s="19"/>
      <c r="E61" s="20"/>
    </row>
    <row r="62" spans="1:5">
      <c r="A62" s="21"/>
      <c r="B62" s="22" t="s">
        <v>96</v>
      </c>
      <c r="C62" s="22">
        <v>170</v>
      </c>
      <c r="D62" s="22" t="s">
        <v>18</v>
      </c>
      <c r="E62" s="23"/>
    </row>
    <row r="63" spans="1:5">
      <c r="A63" s="21"/>
      <c r="B63" s="22" t="s">
        <v>97</v>
      </c>
      <c r="C63" s="30">
        <v>1.2</v>
      </c>
      <c r="D63" s="22"/>
      <c r="E63" s="23"/>
    </row>
    <row r="64" spans="1:5">
      <c r="A64" s="21"/>
      <c r="B64" s="22" t="s">
        <v>98</v>
      </c>
      <c r="C64" s="22">
        <v>5075</v>
      </c>
      <c r="D64" s="22" t="s">
        <v>99</v>
      </c>
      <c r="E64" s="23"/>
    </row>
    <row r="65" spans="1:15">
      <c r="A65" s="21"/>
      <c r="B65" s="22" t="s">
        <v>100</v>
      </c>
      <c r="C65" s="22">
        <v>58.9</v>
      </c>
      <c r="D65" s="22" t="s">
        <v>101</v>
      </c>
      <c r="E65" s="23"/>
    </row>
    <row r="66" spans="1:15">
      <c r="A66" s="21"/>
      <c r="B66" s="22" t="s">
        <v>102</v>
      </c>
      <c r="C66" s="22">
        <v>20</v>
      </c>
      <c r="D66" s="22" t="s">
        <v>103</v>
      </c>
      <c r="E66" s="23"/>
    </row>
    <row r="67" spans="1:15">
      <c r="A67" s="21"/>
      <c r="B67" s="22"/>
      <c r="C67" s="22"/>
      <c r="D67" s="22"/>
      <c r="E67" s="23"/>
    </row>
    <row r="68" spans="1:15" ht="15">
      <c r="A68" s="21"/>
      <c r="B68" s="22" t="s">
        <v>104</v>
      </c>
      <c r="C68" s="22"/>
      <c r="D68" s="22"/>
      <c r="E68" s="23"/>
    </row>
    <row r="69" spans="1:15" ht="15">
      <c r="A69" s="21"/>
      <c r="B69" s="22" t="s">
        <v>105</v>
      </c>
      <c r="C69" s="22"/>
      <c r="D69" s="22"/>
      <c r="E69" s="23"/>
    </row>
    <row r="70" spans="1:15">
      <c r="A70" s="21"/>
      <c r="B70" s="22" t="s">
        <v>106</v>
      </c>
      <c r="C70" s="22"/>
      <c r="D70" s="22"/>
      <c r="E70" s="23"/>
    </row>
    <row r="71" spans="1:15">
      <c r="A71" s="21"/>
      <c r="B71" s="22" t="s">
        <v>128</v>
      </c>
      <c r="C71" s="22"/>
      <c r="D71" s="22"/>
      <c r="E71" s="23"/>
    </row>
    <row r="72" spans="1:15">
      <c r="A72" s="21"/>
      <c r="B72" s="22" t="s">
        <v>107</v>
      </c>
      <c r="C72" s="22"/>
      <c r="D72" s="22"/>
      <c r="E72" s="23"/>
    </row>
    <row r="73" spans="1:15" ht="15">
      <c r="A73" s="21"/>
      <c r="B73" s="22" t="s">
        <v>108</v>
      </c>
      <c r="C73" s="22"/>
      <c r="D73" s="22"/>
      <c r="E73" s="23"/>
    </row>
    <row r="74" spans="1:15">
      <c r="A74" s="21"/>
      <c r="B74" s="22" t="s">
        <v>109</v>
      </c>
      <c r="C74" s="22"/>
      <c r="D74" s="22"/>
      <c r="E74" s="23"/>
    </row>
    <row r="75" spans="1:15" ht="16">
      <c r="A75" s="21"/>
      <c r="B75" s="22" t="s">
        <v>127</v>
      </c>
      <c r="C75" s="22"/>
      <c r="D75" s="22"/>
      <c r="E75" s="23"/>
    </row>
    <row r="76" spans="1:15">
      <c r="A76" s="21"/>
      <c r="B76" s="22" t="s">
        <v>110</v>
      </c>
      <c r="C76" s="22"/>
      <c r="D76" s="22"/>
      <c r="E76" s="23"/>
    </row>
    <row r="77" spans="1:15">
      <c r="A77" s="21"/>
      <c r="B77" s="22" t="s">
        <v>111</v>
      </c>
      <c r="C77" s="22"/>
      <c r="D77" s="22"/>
      <c r="E77" s="23"/>
    </row>
    <row r="78" spans="1:15">
      <c r="A78" s="24"/>
      <c r="B78" s="25" t="s">
        <v>112</v>
      </c>
      <c r="C78" s="25"/>
      <c r="D78" s="25"/>
      <c r="E78" s="26"/>
    </row>
    <row r="79" spans="1:15">
      <c r="A79" s="22"/>
      <c r="B79" s="22"/>
      <c r="C79" s="22"/>
      <c r="D79" s="22"/>
      <c r="E79" s="22"/>
    </row>
    <row r="80" spans="1:15">
      <c r="A80" s="18" t="s">
        <v>113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</row>
    <row r="81" spans="1:15">
      <c r="A81" s="21"/>
      <c r="B81" s="27" t="s">
        <v>114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3"/>
    </row>
    <row r="82" spans="1:15">
      <c r="A82" s="21"/>
      <c r="B82" s="27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3"/>
    </row>
    <row r="83" spans="1:15">
      <c r="A83" s="21"/>
      <c r="B83" s="28" t="s">
        <v>121</v>
      </c>
      <c r="C83" s="27" t="s">
        <v>115</v>
      </c>
      <c r="D83" s="29" t="s">
        <v>119</v>
      </c>
      <c r="E83" s="22" t="s">
        <v>120</v>
      </c>
      <c r="F83" s="22"/>
      <c r="G83" s="22"/>
      <c r="H83" s="22"/>
      <c r="I83" s="22"/>
      <c r="J83" s="22"/>
      <c r="K83" s="22"/>
      <c r="L83" s="22"/>
      <c r="M83" s="22"/>
      <c r="N83" s="22"/>
      <c r="O83" s="23"/>
    </row>
    <row r="84" spans="1:15">
      <c r="A84" s="21"/>
      <c r="B84" s="22" t="s">
        <v>116</v>
      </c>
      <c r="C84" s="22">
        <v>83000</v>
      </c>
      <c r="D84" s="22">
        <v>115000</v>
      </c>
      <c r="E84" s="22">
        <v>91000</v>
      </c>
      <c r="F84" s="22"/>
      <c r="G84" s="22"/>
      <c r="H84" s="22"/>
      <c r="I84" s="22"/>
      <c r="J84" s="22"/>
      <c r="K84" s="22"/>
      <c r="L84" s="22"/>
      <c r="M84" s="22"/>
      <c r="N84" s="22"/>
      <c r="O84" s="23"/>
    </row>
    <row r="85" spans="1:15">
      <c r="A85" s="21"/>
      <c r="B85" s="22" t="s">
        <v>117</v>
      </c>
      <c r="C85" s="22">
        <v>2000</v>
      </c>
      <c r="D85" s="22">
        <v>2500</v>
      </c>
      <c r="E85" s="22">
        <v>1500</v>
      </c>
      <c r="F85" s="22"/>
      <c r="G85" s="22"/>
      <c r="H85" s="22"/>
      <c r="I85" s="22"/>
      <c r="J85" s="22"/>
      <c r="K85" s="22"/>
      <c r="L85" s="22"/>
      <c r="M85" s="22"/>
      <c r="N85" s="22"/>
      <c r="O85" s="23"/>
    </row>
    <row r="86" spans="1:15">
      <c r="A86" s="21"/>
      <c r="B86" s="27" t="s">
        <v>118</v>
      </c>
      <c r="C86" s="22">
        <v>88000</v>
      </c>
      <c r="D86" s="22">
        <v>56000</v>
      </c>
      <c r="E86" s="22">
        <v>39000</v>
      </c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</row>
    <row r="88" spans="1:15">
      <c r="A88" s="21"/>
      <c r="B88" s="27" t="s">
        <v>122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</row>
    <row r="89" spans="1:15">
      <c r="A89" s="21"/>
      <c r="B89" s="22" t="s">
        <v>116</v>
      </c>
      <c r="C89" s="27">
        <v>83000</v>
      </c>
      <c r="D89" s="22" t="s">
        <v>123</v>
      </c>
      <c r="E89" s="27">
        <v>91000</v>
      </c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15">
      <c r="A90" s="21"/>
      <c r="B90" s="22" t="s">
        <v>117</v>
      </c>
      <c r="C90" s="27">
        <v>2000</v>
      </c>
      <c r="D90" s="22"/>
      <c r="E90" s="27">
        <v>1500</v>
      </c>
      <c r="F90" s="22"/>
      <c r="G90" s="22"/>
      <c r="H90" s="22"/>
      <c r="I90" s="22"/>
      <c r="J90" s="22"/>
      <c r="K90" s="22"/>
      <c r="L90" s="22"/>
      <c r="M90" s="22"/>
      <c r="N90" s="22"/>
      <c r="O90" s="23"/>
    </row>
    <row r="91" spans="1:15">
      <c r="A91" s="21"/>
      <c r="B91" s="27" t="s">
        <v>118</v>
      </c>
      <c r="C91" s="27">
        <v>88000</v>
      </c>
      <c r="D91" s="22"/>
      <c r="E91" s="27">
        <v>75000</v>
      </c>
      <c r="F91" s="22"/>
      <c r="G91" s="22"/>
      <c r="H91" s="22"/>
      <c r="I91" s="22"/>
      <c r="J91" s="22"/>
      <c r="K91" s="22"/>
      <c r="L91" s="22"/>
      <c r="M91" s="22"/>
      <c r="N91" s="22"/>
      <c r="O91" s="23"/>
    </row>
    <row r="92" spans="1:15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3"/>
    </row>
    <row r="93" spans="1:15">
      <c r="A93" s="21"/>
      <c r="B93" s="22" t="s">
        <v>124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3"/>
    </row>
    <row r="94" spans="1:15">
      <c r="A94" s="21"/>
      <c r="B94" s="22" t="s">
        <v>125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3"/>
    </row>
    <row r="95" spans="1:15">
      <c r="A95" s="24"/>
      <c r="B95" s="31" t="s">
        <v>126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/>
    </row>
    <row r="96" spans="1:15">
      <c r="A96" s="22"/>
      <c r="B96" s="22"/>
      <c r="C96" s="22"/>
      <c r="D96" s="22"/>
      <c r="E96" s="22"/>
    </row>
    <row r="97" spans="1:6">
      <c r="A97" s="22"/>
      <c r="B97" s="27" t="s">
        <v>129</v>
      </c>
      <c r="C97" s="22" t="s">
        <v>130</v>
      </c>
      <c r="D97" s="22" t="s">
        <v>131</v>
      </c>
      <c r="E97" s="27" t="s">
        <v>132</v>
      </c>
    </row>
    <row r="98" spans="1:6">
      <c r="A98" s="22"/>
      <c r="B98" s="22">
        <v>0.1</v>
      </c>
      <c r="C98" s="22">
        <v>170</v>
      </c>
      <c r="D98" s="22">
        <f>24*365</f>
        <v>8760</v>
      </c>
      <c r="E98" s="22">
        <f>B98*C98*D98</f>
        <v>148920</v>
      </c>
    </row>
    <row r="99" spans="1:6">
      <c r="A99" s="22"/>
      <c r="B99" s="22">
        <v>0.05</v>
      </c>
      <c r="C99" s="22">
        <v>170</v>
      </c>
      <c r="D99" s="22">
        <f>24*365</f>
        <v>8760</v>
      </c>
      <c r="E99" s="22">
        <f>B99*C99*D99</f>
        <v>74460</v>
      </c>
      <c r="F99" t="s">
        <v>134</v>
      </c>
    </row>
    <row r="100" spans="1:6">
      <c r="A100" s="22"/>
      <c r="B100" s="22">
        <v>0.3</v>
      </c>
      <c r="C100" s="22">
        <v>170</v>
      </c>
      <c r="D100" s="22">
        <f>24*365</f>
        <v>8760</v>
      </c>
      <c r="E100" s="22">
        <f>B100*C100*D100</f>
        <v>446760</v>
      </c>
      <c r="F100" t="s">
        <v>133</v>
      </c>
    </row>
    <row r="101" spans="1:6">
      <c r="A101" s="22"/>
      <c r="B101" s="22"/>
      <c r="C101" s="22"/>
      <c r="D101" s="22"/>
      <c r="E101" s="22">
        <f>B100/B99</f>
        <v>5.9999999999999991</v>
      </c>
      <c r="F101" t="s">
        <v>138</v>
      </c>
    </row>
    <row r="102" spans="1:6">
      <c r="A102" s="22"/>
      <c r="B102" s="22" t="s">
        <v>135</v>
      </c>
      <c r="C102" s="22"/>
      <c r="D102" s="22"/>
      <c r="E102" s="22"/>
    </row>
    <row r="103" spans="1:6">
      <c r="A103" s="22"/>
      <c r="B103" s="32" t="s">
        <v>136</v>
      </c>
      <c r="C103" s="27">
        <v>3</v>
      </c>
      <c r="D103" s="22"/>
      <c r="E103" s="22"/>
    </row>
    <row r="104" spans="1:6">
      <c r="A104" s="22"/>
      <c r="B104" s="32" t="s">
        <v>137</v>
      </c>
      <c r="C104" s="27">
        <v>13</v>
      </c>
      <c r="D104" s="22"/>
      <c r="E104" s="22"/>
    </row>
    <row r="105" spans="1:6">
      <c r="B105" s="34" t="s">
        <v>135</v>
      </c>
      <c r="C105">
        <f>(1 + C103/100)^C104</f>
        <v>1.4685337134515639</v>
      </c>
    </row>
    <row r="106" spans="1:6">
      <c r="B106" s="34"/>
    </row>
    <row r="107" spans="1:6">
      <c r="B107" s="34" t="s">
        <v>143</v>
      </c>
    </row>
    <row r="108" spans="1:6">
      <c r="B108" s="34" t="s">
        <v>3</v>
      </c>
      <c r="C108">
        <v>30000</v>
      </c>
      <c r="F108" t="s">
        <v>144</v>
      </c>
    </row>
    <row r="109" spans="1:6">
      <c r="B109" s="34" t="s">
        <v>4</v>
      </c>
      <c r="C109">
        <v>25000</v>
      </c>
    </row>
    <row r="110" spans="1:6">
      <c r="B110" s="33"/>
    </row>
    <row r="111" spans="1:6">
      <c r="A111" t="s">
        <v>91</v>
      </c>
      <c r="B111" t="s">
        <v>92</v>
      </c>
    </row>
    <row r="112" spans="1:6">
      <c r="A112" t="s">
        <v>93</v>
      </c>
      <c r="B112" t="s">
        <v>94</v>
      </c>
    </row>
  </sheetData>
  <phoneticPr fontId="8" type="noConversion"/>
  <pageMargins left="0.7" right="0.7" top="0.75" bottom="0.75" header="0.3" footer="0.3"/>
  <pageSetup paperSize="3" scale="43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13" sqref="A13"/>
    </sheetView>
  </sheetViews>
  <sheetFormatPr baseColWidth="10" defaultColWidth="8.83203125" defaultRowHeight="14" x14ac:dyDescent="0"/>
  <cols>
    <col min="2" max="2" width="56.6640625" customWidth="1"/>
    <col min="3" max="3" width="15.33203125" customWidth="1"/>
  </cols>
  <sheetData>
    <row r="1" spans="1:10" ht="18">
      <c r="A1" s="44" t="s">
        <v>171</v>
      </c>
    </row>
    <row r="3" spans="1:10">
      <c r="B3" t="s">
        <v>56</v>
      </c>
      <c r="C3">
        <v>2</v>
      </c>
    </row>
    <row r="4" spans="1:10" ht="16">
      <c r="B4" t="s">
        <v>57</v>
      </c>
      <c r="C4">
        <v>2</v>
      </c>
    </row>
    <row r="5" spans="1:10">
      <c r="B5" t="s">
        <v>55</v>
      </c>
      <c r="C5">
        <f>C3*C4</f>
        <v>4</v>
      </c>
      <c r="D5" t="s">
        <v>60</v>
      </c>
    </row>
    <row r="6" spans="1:10" ht="16">
      <c r="B6" t="s">
        <v>88</v>
      </c>
      <c r="C6">
        <v>52</v>
      </c>
    </row>
    <row r="7" spans="1:10">
      <c r="B7" t="s">
        <v>61</v>
      </c>
      <c r="C7">
        <v>20</v>
      </c>
      <c r="J7">
        <v>1190</v>
      </c>
    </row>
    <row r="8" spans="1:10">
      <c r="B8" t="s">
        <v>62</v>
      </c>
      <c r="C8">
        <f>C5*C6*C7</f>
        <v>4160</v>
      </c>
      <c r="J8">
        <v>400</v>
      </c>
    </row>
    <row r="9" spans="1:10">
      <c r="B9" t="s">
        <v>165</v>
      </c>
      <c r="C9">
        <f>52*40</f>
        <v>2080</v>
      </c>
      <c r="J9">
        <v>62</v>
      </c>
    </row>
    <row r="10" spans="1:10">
      <c r="B10" t="s">
        <v>63</v>
      </c>
      <c r="C10">
        <f>C4*C6/2080</f>
        <v>0.05</v>
      </c>
      <c r="J10">
        <v>37</v>
      </c>
    </row>
    <row r="11" spans="1:10">
      <c r="B11" t="s">
        <v>64</v>
      </c>
      <c r="C11" s="17">
        <v>200000</v>
      </c>
      <c r="J11">
        <f>SUM(J7:J10)</f>
        <v>1689</v>
      </c>
    </row>
    <row r="12" spans="1:10">
      <c r="B12" s="42" t="s">
        <v>166</v>
      </c>
      <c r="C12" s="43">
        <f>C10*C11</f>
        <v>10000</v>
      </c>
    </row>
    <row r="13" spans="1:10" ht="18">
      <c r="B13" s="44" t="s">
        <v>167</v>
      </c>
      <c r="C13" s="45">
        <f>C7*C3*C12</f>
        <v>400000</v>
      </c>
    </row>
    <row r="14" spans="1:10">
      <c r="B14" t="s">
        <v>75</v>
      </c>
      <c r="C14" s="16">
        <v>60</v>
      </c>
      <c r="D14" t="s">
        <v>76</v>
      </c>
    </row>
    <row r="15" spans="1:10">
      <c r="B15" t="s">
        <v>77</v>
      </c>
      <c r="C15" s="3">
        <v>1</v>
      </c>
      <c r="D15" t="s">
        <v>169</v>
      </c>
    </row>
    <row r="16" spans="1:10" ht="18">
      <c r="B16" s="44" t="s">
        <v>78</v>
      </c>
      <c r="C16" s="45">
        <f>C6*C7*C14*C15</f>
        <v>62400</v>
      </c>
    </row>
    <row r="17" spans="2:3" ht="16">
      <c r="B17" t="s">
        <v>90</v>
      </c>
      <c r="C17" s="3">
        <v>18</v>
      </c>
    </row>
    <row r="18" spans="2:3">
      <c r="B18" t="s">
        <v>80</v>
      </c>
      <c r="C18" s="16">
        <v>2</v>
      </c>
    </row>
    <row r="19" spans="2:3" ht="18">
      <c r="B19" s="44" t="s">
        <v>79</v>
      </c>
      <c r="C19" s="45">
        <f>C18*C17*C7*C6</f>
        <v>37440</v>
      </c>
    </row>
    <row r="20" spans="2:3">
      <c r="B20" t="s">
        <v>168</v>
      </c>
      <c r="C20" s="3">
        <f>C13+C16+C19</f>
        <v>499840</v>
      </c>
    </row>
    <row r="21" spans="2:3">
      <c r="C21" s="3"/>
    </row>
    <row r="23" spans="2:3">
      <c r="B23" t="s">
        <v>58</v>
      </c>
    </row>
    <row r="24" spans="2:3">
      <c r="B24" t="s">
        <v>59</v>
      </c>
    </row>
    <row r="25" spans="2:3">
      <c r="B25" t="s">
        <v>89</v>
      </c>
    </row>
  </sheetData>
  <phoneticPr fontId="8" type="noConversion"/>
  <pageMargins left="0.7" right="0.7" top="0.75" bottom="0.75" header="0.3" footer="0.3"/>
  <pageSetup paperSize="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6" sqref="C6"/>
    </sheetView>
  </sheetViews>
  <sheetFormatPr baseColWidth="10" defaultColWidth="8.83203125" defaultRowHeight="14" x14ac:dyDescent="0"/>
  <cols>
    <col min="2" max="2" width="51.83203125" customWidth="1"/>
    <col min="3" max="3" width="14.5" bestFit="1" customWidth="1"/>
  </cols>
  <sheetData>
    <row r="1" spans="1:4" ht="18">
      <c r="A1" s="44" t="s">
        <v>172</v>
      </c>
    </row>
    <row r="3" spans="1:4">
      <c r="B3" t="s">
        <v>65</v>
      </c>
      <c r="C3" s="2">
        <v>1500000000</v>
      </c>
    </row>
    <row r="4" spans="1:4">
      <c r="B4" t="s">
        <v>71</v>
      </c>
      <c r="C4" s="2">
        <v>50000000</v>
      </c>
    </row>
    <row r="5" spans="1:4">
      <c r="B5" t="s">
        <v>66</v>
      </c>
      <c r="C5">
        <v>30</v>
      </c>
      <c r="D5" t="s">
        <v>67</v>
      </c>
    </row>
    <row r="6" spans="1:4">
      <c r="B6" t="s">
        <v>72</v>
      </c>
      <c r="C6" s="2">
        <f>C4*C5</f>
        <v>1500000000</v>
      </c>
    </row>
    <row r="7" spans="1:4">
      <c r="B7" t="s">
        <v>73</v>
      </c>
      <c r="C7" s="2">
        <f>C3+C6</f>
        <v>3000000000</v>
      </c>
    </row>
    <row r="8" spans="1:4" ht="16">
      <c r="B8" t="s">
        <v>68</v>
      </c>
      <c r="C8" s="2">
        <f>C7/C5</f>
        <v>100000000</v>
      </c>
    </row>
    <row r="9" spans="1:4">
      <c r="B9" t="s">
        <v>69</v>
      </c>
      <c r="C9">
        <f>24*365.25</f>
        <v>8766</v>
      </c>
    </row>
    <row r="10" spans="1:4">
      <c r="B10" t="s">
        <v>70</v>
      </c>
      <c r="C10" s="15">
        <f>C8/C9</f>
        <v>11407.711613050422</v>
      </c>
    </row>
    <row r="12" spans="1:4">
      <c r="B12" t="s">
        <v>152</v>
      </c>
      <c r="C12">
        <v>52</v>
      </c>
    </row>
    <row r="13" spans="1:4">
      <c r="B13" t="s">
        <v>153</v>
      </c>
      <c r="C13">
        <v>2</v>
      </c>
    </row>
    <row r="14" spans="1:4">
      <c r="B14" t="s">
        <v>154</v>
      </c>
      <c r="C14">
        <v>8</v>
      </c>
    </row>
    <row r="15" spans="1:4">
      <c r="B15" t="s">
        <v>155</v>
      </c>
      <c r="C15">
        <v>5</v>
      </c>
    </row>
    <row r="16" spans="1:4">
      <c r="B16" t="s">
        <v>156</v>
      </c>
      <c r="C16">
        <v>260</v>
      </c>
    </row>
    <row r="17" spans="2:4">
      <c r="B17" t="s">
        <v>61</v>
      </c>
      <c r="C17">
        <v>20</v>
      </c>
    </row>
    <row r="18" spans="2:4">
      <c r="B18" t="s">
        <v>157</v>
      </c>
      <c r="C18">
        <f>C17*C16</f>
        <v>5200</v>
      </c>
    </row>
    <row r="19" spans="2:4">
      <c r="B19" t="s">
        <v>174</v>
      </c>
      <c r="C19" s="2">
        <f>C18*C10</f>
        <v>59320100.387862191</v>
      </c>
    </row>
    <row r="21" spans="2:4">
      <c r="B21" t="s">
        <v>159</v>
      </c>
    </row>
    <row r="22" spans="2:4">
      <c r="B22" s="40" t="s">
        <v>160</v>
      </c>
      <c r="C22">
        <v>60</v>
      </c>
      <c r="D22" t="s">
        <v>162</v>
      </c>
    </row>
    <row r="23" spans="2:4">
      <c r="B23" s="40" t="s">
        <v>161</v>
      </c>
      <c r="C23">
        <v>0.6</v>
      </c>
      <c r="D23" t="s">
        <v>163</v>
      </c>
    </row>
    <row r="24" spans="2:4">
      <c r="B24" s="41" t="s">
        <v>164</v>
      </c>
      <c r="C24">
        <f>C22*C23*24</f>
        <v>864</v>
      </c>
    </row>
    <row r="25" spans="2:4">
      <c r="B25" s="40" t="s">
        <v>173</v>
      </c>
      <c r="C25" s="15">
        <f>C19+C10*C24</f>
        <v>69176363.221537754</v>
      </c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B20" sqref="B20"/>
    </sheetView>
  </sheetViews>
  <sheetFormatPr baseColWidth="10" defaultColWidth="8.83203125" defaultRowHeight="14" x14ac:dyDescent="0"/>
  <cols>
    <col min="1" max="1" width="23" customWidth="1"/>
    <col min="2" max="2" width="12.5" style="4" customWidth="1"/>
  </cols>
  <sheetData>
    <row r="1" spans="1:14" ht="18">
      <c r="A1" s="44" t="s">
        <v>175</v>
      </c>
    </row>
    <row r="3" spans="1:14">
      <c r="A3" t="s">
        <v>203</v>
      </c>
    </row>
    <row r="4" spans="1:14">
      <c r="A4" t="s">
        <v>20</v>
      </c>
    </row>
    <row r="5" spans="1:14">
      <c r="A5" t="s">
        <v>21</v>
      </c>
      <c r="D5" t="s">
        <v>81</v>
      </c>
      <c r="M5" s="36" t="s">
        <v>176</v>
      </c>
    </row>
    <row r="6" spans="1:14">
      <c r="D6">
        <v>9.2999999999999999E-2</v>
      </c>
      <c r="E6" t="s">
        <v>82</v>
      </c>
      <c r="M6" t="s">
        <v>177</v>
      </c>
      <c r="N6">
        <f>B16*(B8+B9)</f>
        <v>129960</v>
      </c>
    </row>
    <row r="7" spans="1:14">
      <c r="A7" t="s">
        <v>22</v>
      </c>
      <c r="B7" s="4">
        <f>35*29/144</f>
        <v>7.0486111111111107</v>
      </c>
      <c r="D7">
        <f>B7*sqft_sqm</f>
        <v>0.65552083333333333</v>
      </c>
      <c r="M7" t="s">
        <v>178</v>
      </c>
      <c r="N7">
        <f>B17*B10</f>
        <v>577600</v>
      </c>
    </row>
    <row r="8" spans="1:14" ht="16">
      <c r="A8" t="s">
        <v>179</v>
      </c>
      <c r="B8" s="4">
        <v>90</v>
      </c>
      <c r="C8" t="s">
        <v>24</v>
      </c>
      <c r="D8">
        <f>B8*sqft_sqm</f>
        <v>8.3699999999999992</v>
      </c>
    </row>
    <row r="9" spans="1:14">
      <c r="A9" t="s">
        <v>23</v>
      </c>
      <c r="B9" s="4">
        <f>3*B8</f>
        <v>270</v>
      </c>
      <c r="C9" t="s">
        <v>24</v>
      </c>
      <c r="D9">
        <f>B9*sqft_sqm</f>
        <v>25.11</v>
      </c>
    </row>
    <row r="10" spans="1:14">
      <c r="A10" t="s">
        <v>25</v>
      </c>
      <c r="B10" s="4">
        <v>1600</v>
      </c>
      <c r="D10">
        <f>B10*sqft_sqm</f>
        <v>148.80000000000001</v>
      </c>
      <c r="F10" t="s">
        <v>74</v>
      </c>
    </row>
    <row r="11" spans="1:14">
      <c r="A11" t="s">
        <v>19</v>
      </c>
      <c r="B11" s="4">
        <f xml:space="preserve"> SUM(B7:B10)</f>
        <v>1967.0486111111111</v>
      </c>
      <c r="D11" s="4">
        <f xml:space="preserve"> SUM(D7:D10)</f>
        <v>182.93552083333333</v>
      </c>
    </row>
    <row r="13" spans="1:14">
      <c r="A13" t="s">
        <v>26</v>
      </c>
    </row>
    <row r="14" spans="1:14">
      <c r="A14" t="s">
        <v>83</v>
      </c>
      <c r="B14" s="4">
        <v>673</v>
      </c>
      <c r="C14" t="s">
        <v>27</v>
      </c>
      <c r="D14">
        <f>B14*sqft_sqm</f>
        <v>62.588999999999999</v>
      </c>
      <c r="F14" t="s">
        <v>180</v>
      </c>
    </row>
    <row r="15" spans="1:14">
      <c r="A15" t="s">
        <v>84</v>
      </c>
      <c r="B15" s="4">
        <v>673</v>
      </c>
      <c r="C15" t="s">
        <v>27</v>
      </c>
      <c r="F15" t="s">
        <v>206</v>
      </c>
    </row>
    <row r="16" spans="1:14">
      <c r="A16" t="s">
        <v>85</v>
      </c>
      <c r="B16" s="4">
        <v>361</v>
      </c>
      <c r="C16" t="s">
        <v>27</v>
      </c>
      <c r="D16">
        <f>B16*sqft_sqm</f>
        <v>33.573</v>
      </c>
      <c r="F16" t="s">
        <v>205</v>
      </c>
    </row>
    <row r="17" spans="1:6">
      <c r="A17" t="s">
        <v>86</v>
      </c>
      <c r="B17" s="4">
        <v>361</v>
      </c>
      <c r="C17" t="s">
        <v>27</v>
      </c>
      <c r="F17" t="s">
        <v>206</v>
      </c>
    </row>
    <row r="18" spans="1:6">
      <c r="A18" t="s">
        <v>28</v>
      </c>
      <c r="B18" s="4">
        <v>200</v>
      </c>
      <c r="C18" t="s">
        <v>27</v>
      </c>
      <c r="D18">
        <f>B18*sqft_sqm</f>
        <v>18.600000000000001</v>
      </c>
      <c r="F18" t="s">
        <v>29</v>
      </c>
    </row>
    <row r="19" spans="1:6">
      <c r="A19" t="s">
        <v>30</v>
      </c>
      <c r="B19" s="3">
        <f>B14*(B8+B9) + B15*B10</f>
        <v>1319080</v>
      </c>
      <c r="D19" s="3"/>
      <c r="F19" t="s">
        <v>181</v>
      </c>
    </row>
    <row r="20" spans="1:6">
      <c r="A20" t="s">
        <v>31</v>
      </c>
      <c r="B20" s="3">
        <f>B16*(B8+B9) + B17*B10</f>
        <v>707560</v>
      </c>
      <c r="D20" s="3"/>
    </row>
    <row r="21" spans="1:6">
      <c r="B21" s="3"/>
      <c r="D21" s="3"/>
    </row>
    <row r="22" spans="1:6">
      <c r="A22" t="s">
        <v>58</v>
      </c>
      <c r="B22" s="3"/>
      <c r="D22" s="3"/>
    </row>
    <row r="23" spans="1:6">
      <c r="A23" t="s">
        <v>182</v>
      </c>
      <c r="B23" s="3"/>
      <c r="D23" s="3"/>
    </row>
    <row r="24" spans="1:6">
      <c r="A24" t="s">
        <v>183</v>
      </c>
      <c r="B24" s="3"/>
      <c r="D24" s="3"/>
    </row>
    <row r="25" spans="1:6">
      <c r="A25" t="s">
        <v>184</v>
      </c>
      <c r="B25" s="3"/>
      <c r="D25" s="3"/>
    </row>
    <row r="27" spans="1:6">
      <c r="A27" s="36" t="s">
        <v>185</v>
      </c>
    </row>
    <row r="28" spans="1:6">
      <c r="A28" t="s">
        <v>186</v>
      </c>
    </row>
    <row r="29" spans="1:6">
      <c r="A29" t="s">
        <v>187</v>
      </c>
    </row>
    <row r="30" spans="1:6">
      <c r="A30" t="s">
        <v>188</v>
      </c>
    </row>
    <row r="31" spans="1:6">
      <c r="A31" t="s">
        <v>189</v>
      </c>
    </row>
    <row r="32" spans="1:6">
      <c r="A32" t="s">
        <v>190</v>
      </c>
    </row>
    <row r="33" spans="1:1">
      <c r="A33" s="49">
        <v>42573.706944444442</v>
      </c>
    </row>
    <row r="34" spans="1:1">
      <c r="A34" t="s">
        <v>191</v>
      </c>
    </row>
    <row r="35" spans="1:1">
      <c r="A35" t="s">
        <v>192</v>
      </c>
    </row>
    <row r="36" spans="1:1">
      <c r="A36" t="s">
        <v>193</v>
      </c>
    </row>
    <row r="37" spans="1:1">
      <c r="A37" t="s">
        <v>194</v>
      </c>
    </row>
    <row r="39" spans="1:1">
      <c r="A39" t="s">
        <v>195</v>
      </c>
    </row>
    <row r="41" spans="1:1">
      <c r="A41" t="s">
        <v>196</v>
      </c>
    </row>
    <row r="43" spans="1:1">
      <c r="A43" t="s">
        <v>197</v>
      </c>
    </row>
    <row r="45" spans="1:1">
      <c r="A45" t="s">
        <v>198</v>
      </c>
    </row>
    <row r="47" spans="1:1">
      <c r="A47" t="s">
        <v>199</v>
      </c>
    </row>
    <row r="49" spans="1:1">
      <c r="A49" t="s">
        <v>200</v>
      </c>
    </row>
    <row r="51" spans="1:1">
      <c r="A51" t="s">
        <v>201</v>
      </c>
    </row>
    <row r="53" spans="1:1">
      <c r="A53" t="s">
        <v>202</v>
      </c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9"/>
  <sheetViews>
    <sheetView topLeftCell="A10" workbookViewId="0">
      <selection activeCell="A28" sqref="A28"/>
    </sheetView>
  </sheetViews>
  <sheetFormatPr baseColWidth="10" defaultColWidth="8.83203125" defaultRowHeight="14" x14ac:dyDescent="0"/>
  <cols>
    <col min="1" max="1" width="37.1640625" customWidth="1"/>
    <col min="4" max="4" width="12.6640625" bestFit="1" customWidth="1"/>
    <col min="5" max="5" width="63.5" customWidth="1"/>
  </cols>
  <sheetData>
    <row r="1" spans="1:5" ht="18">
      <c r="A1" s="44" t="s">
        <v>148</v>
      </c>
    </row>
    <row r="2" spans="1:5" ht="15" thickBot="1"/>
    <row r="3" spans="1:5" ht="15" thickBot="1">
      <c r="A3" s="12" t="s">
        <v>33</v>
      </c>
      <c r="B3" s="13" t="s">
        <v>34</v>
      </c>
      <c r="C3" s="13" t="s">
        <v>35</v>
      </c>
      <c r="D3" s="13" t="s">
        <v>36</v>
      </c>
      <c r="E3" s="14"/>
    </row>
    <row r="4" spans="1:5">
      <c r="A4" s="9" t="s">
        <v>32</v>
      </c>
      <c r="B4" s="10">
        <v>55</v>
      </c>
      <c r="C4" s="10">
        <v>95</v>
      </c>
      <c r="D4" s="51">
        <f t="shared" ref="D4:D13" si="0">B4*C4</f>
        <v>5225</v>
      </c>
      <c r="E4" s="11" t="s">
        <v>38</v>
      </c>
    </row>
    <row r="5" spans="1:5">
      <c r="A5" s="5" t="s">
        <v>37</v>
      </c>
      <c r="B5" s="6">
        <v>18</v>
      </c>
      <c r="C5" s="6">
        <v>140</v>
      </c>
      <c r="D5" s="52">
        <f t="shared" si="0"/>
        <v>2520</v>
      </c>
      <c r="E5" s="7" t="s">
        <v>38</v>
      </c>
    </row>
    <row r="6" spans="1:5">
      <c r="A6" s="5" t="s">
        <v>39</v>
      </c>
      <c r="B6" s="6">
        <v>18</v>
      </c>
      <c r="C6" s="6">
        <v>8700</v>
      </c>
      <c r="D6" s="52">
        <f t="shared" si="0"/>
        <v>156600</v>
      </c>
      <c r="E6" s="7" t="s">
        <v>40</v>
      </c>
    </row>
    <row r="7" spans="1:5">
      <c r="A7" s="5" t="s">
        <v>53</v>
      </c>
      <c r="B7" s="6">
        <v>880</v>
      </c>
      <c r="C7" s="6">
        <v>1150</v>
      </c>
      <c r="D7" s="52">
        <f t="shared" si="0"/>
        <v>1012000</v>
      </c>
      <c r="E7" s="7" t="s">
        <v>44</v>
      </c>
    </row>
    <row r="8" spans="1:5">
      <c r="A8" s="5" t="s">
        <v>54</v>
      </c>
      <c r="B8" s="6">
        <v>880</v>
      </c>
      <c r="C8" s="6">
        <v>150</v>
      </c>
      <c r="D8" s="52">
        <f t="shared" si="0"/>
        <v>132000</v>
      </c>
      <c r="E8" s="7" t="s">
        <v>51</v>
      </c>
    </row>
    <row r="9" spans="1:5">
      <c r="A9" s="5" t="s">
        <v>41</v>
      </c>
      <c r="B9" s="6">
        <v>150</v>
      </c>
      <c r="C9" s="6">
        <v>150</v>
      </c>
      <c r="D9" s="52">
        <f t="shared" si="0"/>
        <v>22500</v>
      </c>
      <c r="E9" s="7" t="s">
        <v>49</v>
      </c>
    </row>
    <row r="10" spans="1:5">
      <c r="A10" s="5" t="s">
        <v>42</v>
      </c>
      <c r="B10" s="6">
        <v>1</v>
      </c>
      <c r="C10" s="6">
        <v>50000</v>
      </c>
      <c r="D10" s="52">
        <f t="shared" si="0"/>
        <v>50000</v>
      </c>
      <c r="E10" s="7" t="s">
        <v>49</v>
      </c>
    </row>
    <row r="11" spans="1:5">
      <c r="A11" s="5" t="s">
        <v>46</v>
      </c>
      <c r="B11" s="6">
        <v>1</v>
      </c>
      <c r="C11" s="6">
        <v>12000</v>
      </c>
      <c r="D11" s="52">
        <f t="shared" si="0"/>
        <v>12000</v>
      </c>
      <c r="E11" s="7" t="s">
        <v>49</v>
      </c>
    </row>
    <row r="12" spans="1:5">
      <c r="A12" s="5" t="s">
        <v>47</v>
      </c>
      <c r="B12" s="6">
        <v>1</v>
      </c>
      <c r="C12" s="6">
        <v>250000</v>
      </c>
      <c r="D12" s="52">
        <f t="shared" si="0"/>
        <v>250000</v>
      </c>
      <c r="E12" s="7" t="s">
        <v>48</v>
      </c>
    </row>
    <row r="13" spans="1:5">
      <c r="A13" s="5" t="s">
        <v>50</v>
      </c>
      <c r="B13" s="6">
        <v>2</v>
      </c>
      <c r="C13" s="6">
        <v>5000</v>
      </c>
      <c r="D13" s="52">
        <f t="shared" si="0"/>
        <v>10000</v>
      </c>
      <c r="E13" s="7"/>
    </row>
    <row r="14" spans="1:5">
      <c r="A14" s="5" t="s">
        <v>87</v>
      </c>
      <c r="B14" s="6">
        <v>1</v>
      </c>
      <c r="C14" s="6"/>
      <c r="D14" s="52">
        <f>0.1*(SUM(D4:D13)) *B14</f>
        <v>165284.5</v>
      </c>
      <c r="E14" s="7"/>
    </row>
    <row r="15" spans="1:5">
      <c r="A15" s="5"/>
      <c r="B15" s="6"/>
      <c r="C15" s="6"/>
      <c r="D15" s="6"/>
      <c r="E15" s="7"/>
    </row>
    <row r="16" spans="1:5">
      <c r="A16" s="5"/>
      <c r="B16" s="6"/>
      <c r="C16" s="6"/>
      <c r="D16" s="6"/>
      <c r="E16" s="7"/>
    </row>
    <row r="17" spans="1:5">
      <c r="A17" s="5"/>
      <c r="B17" s="6"/>
      <c r="C17" s="6"/>
      <c r="D17" s="6"/>
      <c r="E17" s="7"/>
    </row>
    <row r="18" spans="1:5">
      <c r="A18" s="5"/>
      <c r="B18" s="6"/>
      <c r="C18" s="6"/>
      <c r="D18" s="6"/>
      <c r="E18" s="7"/>
    </row>
    <row r="19" spans="1:5" ht="15" thickBot="1">
      <c r="A19" s="46" t="s">
        <v>19</v>
      </c>
      <c r="B19" s="47"/>
      <c r="C19" s="47"/>
      <c r="D19" s="48">
        <f>SUM(D4:D14)</f>
        <v>1818129.5</v>
      </c>
      <c r="E19" s="8"/>
    </row>
    <row r="21" spans="1:5">
      <c r="A21" t="s">
        <v>43</v>
      </c>
    </row>
    <row r="22" spans="1:5">
      <c r="A22" t="s">
        <v>45</v>
      </c>
    </row>
    <row r="23" spans="1:5">
      <c r="A23" t="s">
        <v>52</v>
      </c>
    </row>
    <row r="25" spans="1:5" ht="18">
      <c r="A25" s="44" t="s">
        <v>149</v>
      </c>
    </row>
    <row r="26" spans="1:5">
      <c r="A26" t="s">
        <v>158</v>
      </c>
    </row>
    <row r="27" spans="1:5">
      <c r="A27" t="s">
        <v>170</v>
      </c>
    </row>
    <row r="28" spans="1:5">
      <c r="A28" t="s">
        <v>150</v>
      </c>
    </row>
    <row r="29" spans="1:5" ht="15">
      <c r="A29" s="38" t="s">
        <v>151</v>
      </c>
      <c r="D29" s="39">
        <f xml:space="preserve"> (4/3)*D19</f>
        <v>2424172.6666666665</v>
      </c>
    </row>
  </sheetData>
  <phoneticPr fontId="8" type="noConversion"/>
  <pageMargins left="0.7" right="0.7" top="0.75" bottom="0.75" header="0.3" footer="0.3"/>
  <pageSetup scale="8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9.6640625" bestFit="1" customWidth="1"/>
  </cols>
  <sheetData>
    <row r="1" spans="1:2">
      <c r="A1" t="s">
        <v>207</v>
      </c>
      <c r="B1" t="s">
        <v>208</v>
      </c>
    </row>
    <row r="2" spans="1:2">
      <c r="A2" s="50">
        <v>42599</v>
      </c>
      <c r="B2" t="s">
        <v>209</v>
      </c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HVAC</vt:lpstr>
      <vt:lpstr>People Transport</vt:lpstr>
      <vt:lpstr>Science Time</vt:lpstr>
      <vt:lpstr>Room</vt:lpstr>
      <vt:lpstr>Data Transport</vt:lpstr>
      <vt:lpstr>change log</vt:lpstr>
    </vt:vector>
  </TitlesOfParts>
  <Company>NRAO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Lacasse</dc:creator>
  <cp:lastModifiedBy>Jonathan Weintroub</cp:lastModifiedBy>
  <cp:lastPrinted>2017-05-12T19:32:31Z</cp:lastPrinted>
  <dcterms:created xsi:type="dcterms:W3CDTF">2016-06-15T21:53:23Z</dcterms:created>
  <dcterms:modified xsi:type="dcterms:W3CDTF">2017-05-12T19:38:38Z</dcterms:modified>
</cp:coreProperties>
</file>